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a\Documents\Tour Jungfrau Region 2018\"/>
    </mc:Choice>
  </mc:AlternateContent>
  <xr:revisionPtr revIDLastSave="0" documentId="13_ncr:1_{BF16E6F5-DEE5-47F4-B6AC-157508AED9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rip Cost Worksheet" sheetId="6" r:id="rId1"/>
    <sheet name="Budget, Incl &amp; Excl expenses" sheetId="1" r:id="rId2"/>
    <sheet name="Budget for Club Accounting" sheetId="5" r:id="rId3"/>
  </sheets>
  <definedNames>
    <definedName name="Participants">'Budget, Incl &amp; Excl expenses'!$C$16</definedName>
    <definedName name="Total_Revenu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6" l="1"/>
  <c r="C8" i="6"/>
  <c r="D14" i="1" l="1"/>
  <c r="G14" i="1" l="1"/>
  <c r="D8" i="6" l="1"/>
  <c r="D14" i="6"/>
  <c r="E7" i="6" l="1"/>
  <c r="H17" i="6"/>
  <c r="C19" i="6" l="1"/>
  <c r="C18" i="6"/>
  <c r="C16" i="6"/>
  <c r="C14" i="6"/>
  <c r="C15" i="6"/>
  <c r="C11" i="6"/>
  <c r="C9" i="6"/>
  <c r="C13" i="6"/>
  <c r="F22" i="6"/>
  <c r="E22" i="6"/>
  <c r="A6" i="6"/>
  <c r="C7" i="6"/>
  <c r="D9" i="6" l="1"/>
  <c r="C12" i="6" l="1"/>
  <c r="C17" i="6" l="1"/>
  <c r="C10" i="6"/>
  <c r="C22" i="6" s="1"/>
  <c r="A2" i="5" l="1"/>
  <c r="F23" i="6"/>
  <c r="E23" i="6"/>
  <c r="D16" i="6"/>
  <c r="D22" i="6" s="1"/>
  <c r="G22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D6" i="1" l="1"/>
  <c r="C23" i="6"/>
  <c r="D7" i="1"/>
  <c r="D5" i="1" l="1"/>
  <c r="B5" i="5" s="1"/>
  <c r="D23" i="6"/>
  <c r="B7" i="5"/>
  <c r="B10" i="5"/>
  <c r="B9" i="5"/>
  <c r="C7" i="1"/>
  <c r="B17" i="5"/>
  <c r="B8" i="5"/>
  <c r="C6" i="1"/>
  <c r="C8" i="1"/>
  <c r="C9" i="1"/>
  <c r="C10" i="1"/>
  <c r="C11" i="1"/>
  <c r="C12" i="1"/>
  <c r="C13" i="1"/>
  <c r="B39" i="1"/>
  <c r="C5" i="1" l="1"/>
  <c r="C14" i="1"/>
  <c r="D18" i="1"/>
  <c r="D19" i="1" s="1"/>
  <c r="C15" i="1"/>
  <c r="B6" i="5"/>
  <c r="C18" i="1" l="1"/>
  <c r="C19" i="1" s="1"/>
  <c r="C20" i="1" s="1"/>
  <c r="C21" i="1" s="1"/>
  <c r="C22" i="1" s="1"/>
  <c r="D20" i="1"/>
  <c r="D21" i="1" s="1"/>
  <c r="D22" i="1" s="1"/>
  <c r="B12" i="5" l="1"/>
  <c r="B11" i="5"/>
  <c r="B18" i="5" l="1"/>
  <c r="B19" i="5" s="1"/>
  <c r="B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Talbert</author>
  </authors>
  <commentList>
    <comment ref="E9" authorId="0" shapeId="0" xr:uid="{E5F7FAC8-DDD0-450B-AAC0-C79248557829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Breakfast included</t>
        </r>
      </text>
    </comment>
    <comment ref="E11" authorId="0" shapeId="0" xr:uid="{151909D1-6958-4D7C-8A89-8D986CF64FA3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Half board</t>
        </r>
      </text>
    </comment>
    <comment ref="E12" authorId="0" shapeId="0" xr:uid="{3A732EC4-552E-41A1-9FA7-8927D13CCDA3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Half board
</t>
        </r>
      </text>
    </comment>
    <comment ref="E13" authorId="0" shapeId="0" xr:uid="{C5065B60-0F3B-4830-B67A-C059B051E59C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dinner
</t>
        </r>
      </text>
    </comment>
    <comment ref="E16" authorId="0" shapeId="0" xr:uid="{613A7C1F-1CFA-41B6-982A-525EEE4F73E3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half board</t>
        </r>
      </text>
    </comment>
    <comment ref="E17" authorId="0" shapeId="0" xr:uid="{F4F75FC9-E5AA-4970-93BB-A23917E420F5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half board</t>
        </r>
      </text>
    </comment>
    <comment ref="E18" authorId="0" shapeId="0" xr:uid="{2E3D9433-339A-419E-814F-DAB5EABF6ECA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half board</t>
        </r>
      </text>
    </comment>
    <comment ref="E19" authorId="0" shapeId="0" xr:uid="{F72DE600-D970-4F70-A8B3-39D236CBD0DA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half board</t>
        </r>
      </text>
    </comment>
  </commentList>
</comments>
</file>

<file path=xl/sharedStrings.xml><?xml version="1.0" encoding="utf-8"?>
<sst xmlns="http://schemas.openxmlformats.org/spreadsheetml/2006/main" count="102" uniqueCount="85">
  <si>
    <t>Expenses Included</t>
  </si>
  <si>
    <t>Contingency:</t>
  </si>
  <si>
    <t>Guide/Trekking Service:</t>
  </si>
  <si>
    <t>Excursions/Tours:</t>
  </si>
  <si>
    <t>Cancellation Insurance:</t>
  </si>
  <si>
    <t>Travel Agency Fees:</t>
  </si>
  <si>
    <t>Expense Total</t>
  </si>
  <si>
    <t>GrandTotal</t>
  </si>
  <si>
    <t>(Not all expense categories need to be utilized.  They may not be applicable or listed as excluded expenses.)</t>
  </si>
  <si>
    <t>Expenses NOT Included in Trip Price</t>
  </si>
  <si>
    <t>Passes/Permits:</t>
  </si>
  <si>
    <t>Equipment Rental (phone, vehicle, boats, gear):</t>
  </si>
  <si>
    <t>Administration (Memberships, maps, tax, phone, postage, copying):</t>
  </si>
  <si>
    <t>Food (meals, supplies):</t>
  </si>
  <si>
    <t>Lodging (Hotels, Huts, Camp Fees):</t>
  </si>
  <si>
    <t>Transportation (air travel, trains, buses, taxis, boats within main itinerary)</t>
  </si>
  <si>
    <t>Cost Per Person</t>
  </si>
  <si>
    <t>Other (please describe)</t>
  </si>
  <si>
    <t>Included  Insurance:</t>
  </si>
  <si>
    <t>Budget</t>
  </si>
  <si>
    <t>Leaders' Incremental Trip Expenses (airfare, other transport, etc)</t>
  </si>
  <si>
    <t>Subtotal</t>
  </si>
  <si>
    <t>Mountaineers Admin Fee</t>
  </si>
  <si>
    <t>* Leader fill in green cells.  Do NOT type in the other cells - they will calculate automatically.</t>
  </si>
  <si>
    <t>Leader's Share of Total Trip Expenses</t>
  </si>
  <si>
    <t>Transportation</t>
  </si>
  <si>
    <t>Food</t>
  </si>
  <si>
    <t>Transport</t>
  </si>
  <si>
    <t>Lodging</t>
  </si>
  <si>
    <t>Total Cost</t>
  </si>
  <si>
    <t>Total Revenue</t>
  </si>
  <si>
    <t>Cost Per Participant</t>
  </si>
  <si>
    <t>Number of Participants (not including leaders) - modify as appropriate</t>
  </si>
  <si>
    <t>Notes/Explanation</t>
  </si>
  <si>
    <t>Notes/Description</t>
  </si>
  <si>
    <t>Budget for Club Accounting</t>
  </si>
  <si>
    <t>Administration, Equipment Rentals, Passes/permits, insurance</t>
  </si>
  <si>
    <t>Guides, Travel Agents, Tours</t>
  </si>
  <si>
    <t>Number of Participants (not counting leaders)</t>
  </si>
  <si>
    <t>Per Person Trip Price</t>
  </si>
  <si>
    <t>Booking Agent Fees:</t>
  </si>
  <si>
    <t>Full coverage for flight and trip price - optional</t>
  </si>
  <si>
    <t>Medical &amp; Emergency Evac Insurance:</t>
  </si>
  <si>
    <t>Net</t>
  </si>
  <si>
    <t>Required - assumes TravelGuard Gold with Umbrella</t>
  </si>
  <si>
    <t>DATE</t>
  </si>
  <si>
    <t>Tours</t>
  </si>
  <si>
    <t>Included Costs in CHF</t>
  </si>
  <si>
    <t>CHF to USD exchange</t>
  </si>
  <si>
    <t>Arrive Interlaken - hike the Harder Kulm trail, stay at Interlaken Youth Hostel.</t>
  </si>
  <si>
    <t>Hike to Berghaus Baregg.  Night there</t>
  </si>
  <si>
    <t>Jungfraujoch option $128</t>
  </si>
  <si>
    <t>Schilthorn option $41</t>
  </si>
  <si>
    <t>Hike to Rotstock Hutte - night there</t>
  </si>
  <si>
    <t>Adventure Title:    Trek the Jungfrau High Route</t>
  </si>
  <si>
    <t>If extra night in Zurich single occupancy</t>
  </si>
  <si>
    <t>Euro to USD exchange</t>
  </si>
  <si>
    <t>$     200-250</t>
  </si>
  <si>
    <t>Trail &amp; town lunches, extra meals in Zurich</t>
  </si>
  <si>
    <t>Jungfraujoch, Schilthorn train/cable car</t>
  </si>
  <si>
    <t>Swiss half-price card, trains and cable cars</t>
  </si>
  <si>
    <t>All hotels and huts through the itinerary (not counting last night in Zurich)</t>
  </si>
  <si>
    <t>Copying etc.</t>
  </si>
  <si>
    <t>Air travel ($1300), $100 for optional cable cars</t>
  </si>
  <si>
    <t>Trip Expenses with contingency</t>
  </si>
  <si>
    <t>Including additional dinners not covered by half-board (included in lodging)</t>
  </si>
  <si>
    <t xml:space="preserve">Walk to Oeschinenesee - stay there.    </t>
  </si>
  <si>
    <t>10% cancellation charge</t>
  </si>
  <si>
    <t># Participants + Leaders</t>
  </si>
  <si>
    <t>ITINERARY</t>
  </si>
  <si>
    <t>Budget for GA Committee</t>
  </si>
  <si>
    <t>Global Adventure Trip Cost Worksheet</t>
  </si>
  <si>
    <t>Incremental Leader Expenses</t>
  </si>
  <si>
    <t>Train to Zurich for flights out, or stay another night</t>
  </si>
  <si>
    <t>Early arrival Zurich - transfer to hotel - overnight (own expense)</t>
  </si>
  <si>
    <t>Free day in Murren.  Dinner on your own</t>
  </si>
  <si>
    <t xml:space="preserve">Hike to Grindelwaldblick via Kleine Scheidegg.    </t>
  </si>
  <si>
    <t>ARRIVE ZURICH -transfer to hotel - group dinner, overnight</t>
  </si>
  <si>
    <t xml:space="preserve">Hike to Alpiglen.  Stay there.  </t>
  </si>
  <si>
    <t>Side hike to Fundershutte - Walk to Kandersteg - train to interlaken - stay there</t>
  </si>
  <si>
    <t>Walk to Bundalp.  Night there.</t>
  </si>
  <si>
    <t>Optional train to Jungfraujoch.  Hike over Mannlichen Peak, down to Lauterbrunnen, gondola up Grutschalp, walk to Murren.  Stay there</t>
  </si>
  <si>
    <t>Train to Wilderswil, cog railway to Schynige Platte, walk to Berghotel Faulhorn.  Dinner 6-7PM. Night there</t>
  </si>
  <si>
    <t>Hike to Gleckstein Hutte.  Dinner 6:30PM. Night there</t>
  </si>
  <si>
    <t>Walk to Gimmelwald and on to Obersteinberg (side trip to Oberhornsee tarn &amp; Schmadri Hut).  Stay at candle-lit Mtn Hotel Obersteinberg.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</si>
</sst>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F800]dddd\,\ mmmm\ dd\,\ yyyy"/>
    <numFmt numFmtId="166" formatCode="[$-409]d\-mmm\-yy;@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4" fillId="0" borderId="3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/>
    <xf numFmtId="0" fontId="2" fillId="0" borderId="0" xfId="0" applyFont="1" applyBorder="1" applyAlignment="1">
      <alignment horizontal="center"/>
    </xf>
    <xf numFmtId="164" fontId="0" fillId="0" borderId="0" xfId="0" applyNumberFormat="1"/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/>
    <xf numFmtId="166" fontId="0" fillId="0" borderId="0" xfId="0" applyNumberFormat="1" applyBorder="1" applyAlignment="1">
      <alignment horizontal="right"/>
    </xf>
    <xf numFmtId="164" fontId="0" fillId="0" borderId="0" xfId="1" applyNumberFormat="1" applyFont="1" applyBorder="1" applyAlignment="1">
      <alignment horizontal="right" wrapText="1"/>
    </xf>
    <xf numFmtId="164" fontId="0" fillId="0" borderId="0" xfId="1" applyNumberFormat="1" applyFont="1"/>
    <xf numFmtId="164" fontId="0" fillId="0" borderId="0" xfId="1" applyNumberFormat="1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4" fontId="0" fillId="0" borderId="0" xfId="0" applyNumberFormat="1"/>
    <xf numFmtId="2" fontId="0" fillId="0" borderId="0" xfId="0" applyNumberFormat="1" applyFill="1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 applyBorder="1" applyAlignment="1">
      <alignment horizontal="left"/>
    </xf>
    <xf numFmtId="165" fontId="9" fillId="0" borderId="0" xfId="0" applyNumberFormat="1" applyFont="1" applyFill="1" applyAlignment="1">
      <alignment horizontal="left" vertical="center"/>
    </xf>
    <xf numFmtId="0" fontId="10" fillId="0" borderId="0" xfId="0" applyFont="1"/>
    <xf numFmtId="166" fontId="7" fillId="0" borderId="0" xfId="0" applyNumberFormat="1" applyFont="1" applyBorder="1" applyAlignment="1">
      <alignment horizontal="right"/>
    </xf>
    <xf numFmtId="0" fontId="7" fillId="0" borderId="0" xfId="0" applyFont="1"/>
    <xf numFmtId="0" fontId="11" fillId="0" borderId="0" xfId="0" applyFont="1"/>
    <xf numFmtId="164" fontId="11" fillId="0" borderId="36" xfId="1" applyNumberFormat="1" applyFont="1" applyFill="1" applyBorder="1"/>
    <xf numFmtId="164" fontId="11" fillId="0" borderId="36" xfId="1" applyNumberFormat="1" applyFont="1" applyBorder="1"/>
    <xf numFmtId="164" fontId="4" fillId="0" borderId="0" xfId="1" applyNumberFormat="1" applyFont="1"/>
    <xf numFmtId="0" fontId="8" fillId="0" borderId="2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left" vertical="center"/>
    </xf>
    <xf numFmtId="165" fontId="9" fillId="0" borderId="14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wrapText="1"/>
    </xf>
    <xf numFmtId="0" fontId="11" fillId="0" borderId="16" xfId="0" applyFont="1" applyBorder="1"/>
    <xf numFmtId="0" fontId="11" fillId="0" borderId="41" xfId="0" applyFont="1" applyBorder="1" applyAlignment="1">
      <alignment wrapText="1"/>
    </xf>
    <xf numFmtId="164" fontId="11" fillId="0" borderId="13" xfId="1" applyNumberFormat="1" applyFont="1" applyFill="1" applyBorder="1"/>
    <xf numFmtId="164" fontId="11" fillId="0" borderId="31" xfId="1" applyNumberFormat="1" applyFont="1" applyFill="1" applyBorder="1"/>
    <xf numFmtId="164" fontId="11" fillId="0" borderId="13" xfId="1" applyNumberFormat="1" applyFont="1" applyBorder="1"/>
    <xf numFmtId="164" fontId="11" fillId="0" borderId="31" xfId="1" applyNumberFormat="1" applyFont="1" applyBorder="1"/>
    <xf numFmtId="164" fontId="11" fillId="0" borderId="14" xfId="1" applyNumberFormat="1" applyFont="1" applyBorder="1"/>
    <xf numFmtId="164" fontId="11" fillId="0" borderId="38" xfId="1" applyNumberFormat="1" applyFont="1" applyBorder="1"/>
    <xf numFmtId="164" fontId="11" fillId="0" borderId="32" xfId="1" applyNumberFormat="1" applyFont="1" applyBorder="1"/>
    <xf numFmtId="0" fontId="4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/>
    <xf numFmtId="164" fontId="11" fillId="4" borderId="18" xfId="1" applyNumberFormat="1" applyFont="1" applyFill="1" applyBorder="1" applyAlignment="1">
      <alignment horizontal="center" vertical="center" wrapText="1"/>
    </xf>
    <xf numFmtId="164" fontId="11" fillId="3" borderId="27" xfId="1" applyNumberFormat="1" applyFont="1" applyFill="1" applyBorder="1" applyAlignment="1">
      <alignment horizontal="center" vertical="center" wrapText="1"/>
    </xf>
    <xf numFmtId="164" fontId="11" fillId="4" borderId="19" xfId="1" applyNumberFormat="1" applyFont="1" applyFill="1" applyBorder="1" applyAlignment="1">
      <alignment horizontal="center" vertical="center" wrapText="1"/>
    </xf>
    <xf numFmtId="164" fontId="11" fillId="3" borderId="28" xfId="1" applyNumberFormat="1" applyFont="1" applyFill="1" applyBorder="1" applyAlignment="1">
      <alignment horizontal="center" vertical="center" wrapText="1"/>
    </xf>
    <xf numFmtId="164" fontId="11" fillId="4" borderId="20" xfId="1" applyNumberFormat="1" applyFont="1" applyFill="1" applyBorder="1" applyAlignment="1">
      <alignment horizontal="center" vertical="center" wrapText="1"/>
    </xf>
    <xf numFmtId="164" fontId="11" fillId="3" borderId="29" xfId="1" applyNumberFormat="1" applyFont="1" applyFill="1" applyBorder="1" applyAlignment="1">
      <alignment horizontal="center" vertical="center" wrapText="1"/>
    </xf>
    <xf numFmtId="164" fontId="11" fillId="4" borderId="10" xfId="1" applyNumberFormat="1" applyFont="1" applyFill="1" applyBorder="1" applyAlignment="1">
      <alignment horizontal="center" vertical="center" wrapText="1"/>
    </xf>
    <xf numFmtId="164" fontId="11" fillId="2" borderId="10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11" fillId="4" borderId="6" xfId="1" applyNumberFormat="1" applyFont="1" applyFill="1" applyBorder="1" applyAlignment="1">
      <alignment horizontal="center" vertical="center" wrapText="1"/>
    </xf>
    <xf numFmtId="164" fontId="11" fillId="4" borderId="1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9" fontId="11" fillId="3" borderId="8" xfId="0" applyNumberFormat="1" applyFont="1" applyFill="1" applyBorder="1" applyAlignment="1">
      <alignment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9" fontId="11" fillId="4" borderId="8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11" fillId="3" borderId="18" xfId="1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11" fillId="3" borderId="19" xfId="1" applyNumberFormat="1" applyFont="1" applyFill="1" applyBorder="1" applyAlignment="1">
      <alignment vertical="center" wrapText="1"/>
    </xf>
    <xf numFmtId="164" fontId="11" fillId="3" borderId="19" xfId="1" applyNumberFormat="1" applyFont="1" applyFill="1" applyBorder="1" applyAlignment="1">
      <alignment horizontal="right" vertical="center" wrapText="1"/>
    </xf>
    <xf numFmtId="164" fontId="11" fillId="3" borderId="25" xfId="1" applyNumberFormat="1" applyFont="1" applyFill="1" applyBorder="1" applyAlignment="1">
      <alignment vertical="center" wrapText="1"/>
    </xf>
    <xf numFmtId="164" fontId="11" fillId="3" borderId="20" xfId="1" applyNumberFormat="1" applyFont="1" applyFill="1" applyBorder="1" applyAlignment="1">
      <alignment vertical="center" wrapText="1"/>
    </xf>
    <xf numFmtId="164" fontId="11" fillId="4" borderId="6" xfId="1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164" fontId="11" fillId="3" borderId="6" xfId="1" applyNumberFormat="1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9" fontId="11" fillId="0" borderId="0" xfId="2" applyFont="1" applyAlignment="1">
      <alignment horizontal="right"/>
    </xf>
    <xf numFmtId="44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164" fontId="11" fillId="0" borderId="18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4" fontId="11" fillId="0" borderId="19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5" fontId="9" fillId="0" borderId="44" xfId="0" applyNumberFormat="1" applyFont="1" applyFill="1" applyBorder="1" applyAlignment="1">
      <alignment horizontal="left" vertical="center"/>
    </xf>
    <xf numFmtId="0" fontId="11" fillId="0" borderId="45" xfId="0" applyFont="1" applyBorder="1" applyAlignment="1">
      <alignment wrapText="1"/>
    </xf>
    <xf numFmtId="164" fontId="11" fillId="0" borderId="44" xfId="1" applyNumberFormat="1" applyFont="1" applyFill="1" applyBorder="1"/>
    <xf numFmtId="164" fontId="11" fillId="0" borderId="46" xfId="1" applyNumberFormat="1" applyFont="1" applyFill="1" applyBorder="1"/>
    <xf numFmtId="164" fontId="11" fillId="0" borderId="47" xfId="1" applyNumberFormat="1" applyFont="1" applyFill="1" applyBorder="1"/>
    <xf numFmtId="0" fontId="8" fillId="0" borderId="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167" fontId="11" fillId="3" borderId="7" xfId="3" applyNumberFormat="1" applyFont="1" applyFill="1" applyBorder="1" applyAlignment="1">
      <alignment horizontal="center" vertical="center" wrapText="1"/>
    </xf>
    <xf numFmtId="167" fontId="11" fillId="3" borderId="22" xfId="3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selection activeCell="J2" sqref="J2"/>
    </sheetView>
  </sheetViews>
  <sheetFormatPr defaultRowHeight="15" x14ac:dyDescent="0.25"/>
  <cols>
    <col min="1" max="1" width="30" style="14" bestFit="1" customWidth="1"/>
    <col min="2" max="2" width="64.140625" bestFit="1" customWidth="1"/>
    <col min="3" max="3" width="12" customWidth="1"/>
    <col min="4" max="5" width="11.5703125" customWidth="1"/>
    <col min="6" max="6" width="10.85546875" customWidth="1"/>
    <col min="8" max="8" width="10.7109375" customWidth="1"/>
    <col min="9" max="9" width="5.42578125" customWidth="1"/>
  </cols>
  <sheetData>
    <row r="1" spans="1:10" ht="26.25" x14ac:dyDescent="0.4">
      <c r="A1" s="79" t="s">
        <v>71</v>
      </c>
    </row>
    <row r="2" spans="1:10" ht="23.25" x14ac:dyDescent="0.25">
      <c r="A2" s="109" t="s">
        <v>54</v>
      </c>
      <c r="B2" s="109"/>
      <c r="C2" s="109"/>
      <c r="D2" s="109"/>
      <c r="E2" s="109"/>
    </row>
    <row r="3" spans="1:10" ht="15.75" thickBot="1" x14ac:dyDescent="0.3"/>
    <row r="4" spans="1:10" ht="18.75" x14ac:dyDescent="0.3">
      <c r="A4" s="35"/>
      <c r="B4" s="36"/>
      <c r="C4" s="106" t="s">
        <v>47</v>
      </c>
      <c r="D4" s="107"/>
      <c r="E4" s="107"/>
      <c r="F4" s="108"/>
    </row>
    <row r="5" spans="1:10" ht="19.5" thickBot="1" x14ac:dyDescent="0.35">
      <c r="A5" s="104" t="s">
        <v>45</v>
      </c>
      <c r="B5" s="105" t="s">
        <v>69</v>
      </c>
      <c r="C5" s="96" t="s">
        <v>28</v>
      </c>
      <c r="D5" s="97" t="s">
        <v>27</v>
      </c>
      <c r="E5" s="97" t="s">
        <v>26</v>
      </c>
      <c r="F5" s="98" t="s">
        <v>46</v>
      </c>
      <c r="G5" s="26" t="s">
        <v>48</v>
      </c>
      <c r="I5" s="14">
        <v>1.02</v>
      </c>
    </row>
    <row r="6" spans="1:10" s="15" customFormat="1" ht="37.5" x14ac:dyDescent="0.3">
      <c r="A6" s="99">
        <f>A7-1</f>
        <v>43302</v>
      </c>
      <c r="B6" s="100" t="s">
        <v>74</v>
      </c>
      <c r="C6" s="101">
        <v>109</v>
      </c>
      <c r="D6" s="102">
        <v>142</v>
      </c>
      <c r="E6" s="102"/>
      <c r="F6" s="103"/>
      <c r="G6" s="15" t="s">
        <v>56</v>
      </c>
      <c r="I6" s="15">
        <v>1.18</v>
      </c>
    </row>
    <row r="7" spans="1:10" s="15" customFormat="1" ht="37.5" x14ac:dyDescent="0.3">
      <c r="A7" s="37">
        <v>43303</v>
      </c>
      <c r="B7" s="39" t="s">
        <v>77</v>
      </c>
      <c r="C7" s="42">
        <f>2614.9/2/12</f>
        <v>108.95416666666667</v>
      </c>
      <c r="D7" s="32"/>
      <c r="E7" s="32">
        <f>57*I5</f>
        <v>58.14</v>
      </c>
      <c r="F7" s="43"/>
    </row>
    <row r="8" spans="1:10" s="15" customFormat="1" ht="37.5" x14ac:dyDescent="0.3">
      <c r="A8" s="37">
        <f>A7+1</f>
        <v>43304</v>
      </c>
      <c r="B8" s="39" t="s">
        <v>49</v>
      </c>
      <c r="C8" s="42">
        <f>854.63*I5/12</f>
        <v>72.643550000000005</v>
      </c>
      <c r="D8" s="32">
        <f>31.9*I6</f>
        <v>37.641999999999996</v>
      </c>
      <c r="E8" s="32">
        <v>60</v>
      </c>
      <c r="F8" s="43"/>
    </row>
    <row r="9" spans="1:10" s="15" customFormat="1" ht="37.5" x14ac:dyDescent="0.3">
      <c r="A9" s="37">
        <f t="shared" ref="A9:A19" si="0">A8+1</f>
        <v>43305</v>
      </c>
      <c r="B9" s="39" t="s">
        <v>82</v>
      </c>
      <c r="C9" s="42">
        <f>82*I5</f>
        <v>83.64</v>
      </c>
      <c r="D9" s="32">
        <f>17+(1.7*I6)</f>
        <v>19.006</v>
      </c>
      <c r="E9" s="32">
        <v>50</v>
      </c>
      <c r="F9" s="43"/>
      <c r="J9" s="23"/>
    </row>
    <row r="10" spans="1:10" s="15" customFormat="1" ht="18.75" x14ac:dyDescent="0.3">
      <c r="A10" s="37">
        <f t="shared" si="0"/>
        <v>43306</v>
      </c>
      <c r="B10" s="40" t="s">
        <v>83</v>
      </c>
      <c r="C10" s="42">
        <f>89*I5</f>
        <v>90.78</v>
      </c>
      <c r="D10" s="32"/>
      <c r="E10" s="32">
        <v>0</v>
      </c>
      <c r="F10" s="43"/>
    </row>
    <row r="11" spans="1:10" s="15" customFormat="1" ht="18.75" x14ac:dyDescent="0.3">
      <c r="A11" s="37">
        <f t="shared" si="0"/>
        <v>43307</v>
      </c>
      <c r="B11" s="40" t="s">
        <v>50</v>
      </c>
      <c r="C11" s="42">
        <f>(86*11+70)*I5/12</f>
        <v>86.36</v>
      </c>
      <c r="D11" s="32"/>
      <c r="E11" s="32"/>
      <c r="F11" s="43"/>
    </row>
    <row r="12" spans="1:10" s="15" customFormat="1" ht="18.75" x14ac:dyDescent="0.3">
      <c r="A12" s="37">
        <f t="shared" si="0"/>
        <v>43308</v>
      </c>
      <c r="B12" s="40" t="s">
        <v>78</v>
      </c>
      <c r="C12" s="42">
        <f>86*I5</f>
        <v>87.72</v>
      </c>
      <c r="D12" s="32"/>
      <c r="E12" s="32"/>
      <c r="F12" s="43"/>
    </row>
    <row r="13" spans="1:10" s="15" customFormat="1" ht="18.75" x14ac:dyDescent="0.3">
      <c r="A13" s="37">
        <f t="shared" si="0"/>
        <v>43309</v>
      </c>
      <c r="B13" s="39" t="s">
        <v>76</v>
      </c>
      <c r="C13" s="42">
        <f>((45*6)+220+130)*I5/12</f>
        <v>52.699999999999996</v>
      </c>
      <c r="D13" s="32"/>
      <c r="E13" s="32">
        <v>50</v>
      </c>
      <c r="F13" s="43"/>
      <c r="G13" s="15" t="s">
        <v>51</v>
      </c>
    </row>
    <row r="14" spans="1:10" s="15" customFormat="1" ht="56.25" x14ac:dyDescent="0.3">
      <c r="A14" s="37">
        <f t="shared" si="0"/>
        <v>43310</v>
      </c>
      <c r="B14" s="39" t="s">
        <v>81</v>
      </c>
      <c r="C14" s="42">
        <f>194/2*I5+178.09/12</f>
        <v>113.78083333333333</v>
      </c>
      <c r="D14" s="32">
        <f>(11.5+3.1+4.5+2.2)*I5</f>
        <v>21.726000000000003</v>
      </c>
      <c r="E14" s="32">
        <v>60</v>
      </c>
      <c r="F14" s="43"/>
      <c r="G14" s="15" t="s">
        <v>67</v>
      </c>
    </row>
    <row r="15" spans="1:10" s="15" customFormat="1" ht="18.75" x14ac:dyDescent="0.3">
      <c r="A15" s="37">
        <f t="shared" si="0"/>
        <v>43311</v>
      </c>
      <c r="B15" s="40" t="s">
        <v>75</v>
      </c>
      <c r="C15" s="42">
        <f>194*I5/2</f>
        <v>98.94</v>
      </c>
      <c r="D15" s="32"/>
      <c r="E15" s="32"/>
      <c r="F15" s="43"/>
      <c r="G15" s="15" t="s">
        <v>52</v>
      </c>
    </row>
    <row r="16" spans="1:10" s="15" customFormat="1" ht="56.25" x14ac:dyDescent="0.3">
      <c r="A16" s="37">
        <f t="shared" si="0"/>
        <v>43312</v>
      </c>
      <c r="B16" s="39" t="s">
        <v>84</v>
      </c>
      <c r="C16" s="42">
        <f>90*I5</f>
        <v>91.8</v>
      </c>
      <c r="D16" s="32">
        <f>7.2</f>
        <v>7.2</v>
      </c>
      <c r="E16" s="32"/>
      <c r="F16" s="43"/>
      <c r="H16"/>
    </row>
    <row r="17" spans="1:10" s="15" customFormat="1" ht="18.75" x14ac:dyDescent="0.3">
      <c r="A17" s="37">
        <f t="shared" si="0"/>
        <v>43313</v>
      </c>
      <c r="B17" s="40" t="s">
        <v>53</v>
      </c>
      <c r="C17" s="42">
        <f>70*I5</f>
        <v>71.400000000000006</v>
      </c>
      <c r="D17" s="32"/>
      <c r="E17" s="32">
        <v>0</v>
      </c>
      <c r="F17" s="43"/>
      <c r="H17">
        <f>1015/9*I5</f>
        <v>115.03333333333333</v>
      </c>
    </row>
    <row r="18" spans="1:10" s="15" customFormat="1" ht="18.75" x14ac:dyDescent="0.3">
      <c r="A18" s="37">
        <f t="shared" si="0"/>
        <v>43314</v>
      </c>
      <c r="B18" s="40" t="s">
        <v>80</v>
      </c>
      <c r="C18" s="44">
        <f>(62*11+31)*I5/12</f>
        <v>60.604999999999997</v>
      </c>
      <c r="D18" s="33"/>
      <c r="E18" s="33">
        <v>0</v>
      </c>
      <c r="F18" s="45"/>
      <c r="H18"/>
    </row>
    <row r="19" spans="1:10" ht="18.75" x14ac:dyDescent="0.3">
      <c r="A19" s="37">
        <f t="shared" si="0"/>
        <v>43315</v>
      </c>
      <c r="B19" s="40" t="s">
        <v>66</v>
      </c>
      <c r="C19" s="44">
        <f>1120*I5/12</f>
        <v>95.2</v>
      </c>
      <c r="D19" s="33"/>
      <c r="E19" s="33"/>
      <c r="F19" s="45"/>
    </row>
    <row r="20" spans="1:10" ht="37.5" x14ac:dyDescent="0.3">
      <c r="A20" s="37">
        <f>A19+1</f>
        <v>43316</v>
      </c>
      <c r="B20" s="39" t="s">
        <v>79</v>
      </c>
      <c r="C20" s="44">
        <f>816.6*I5/12</f>
        <v>69.411000000000001</v>
      </c>
      <c r="D20" s="33">
        <v>14.5</v>
      </c>
      <c r="E20" s="33">
        <v>60</v>
      </c>
      <c r="F20" s="45"/>
    </row>
    <row r="21" spans="1:10" ht="19.5" thickBot="1" x14ac:dyDescent="0.35">
      <c r="A21" s="38">
        <f>A20+1</f>
        <v>43317</v>
      </c>
      <c r="B21" s="41" t="s">
        <v>73</v>
      </c>
      <c r="C21" s="46"/>
      <c r="D21" s="47">
        <v>37.159999999999997</v>
      </c>
      <c r="E21" s="47"/>
      <c r="F21" s="48"/>
    </row>
    <row r="22" spans="1:10" s="24" customFormat="1" ht="18.75" x14ac:dyDescent="0.3">
      <c r="A22" s="27"/>
      <c r="B22" s="28"/>
      <c r="C22" s="34">
        <f>SUM(C6:C21)</f>
        <v>1292.9345500000002</v>
      </c>
      <c r="D22" s="34">
        <f t="shared" ref="D22:F22" si="1">SUM(D6:D21)</f>
        <v>279.23399999999998</v>
      </c>
      <c r="E22" s="34">
        <f t="shared" si="1"/>
        <v>338.14</v>
      </c>
      <c r="F22" s="34">
        <f t="shared" si="1"/>
        <v>0</v>
      </c>
      <c r="G22" s="25">
        <f>SUM(C22:F22)</f>
        <v>1910.3085500000002</v>
      </c>
      <c r="I22" s="25"/>
    </row>
    <row r="23" spans="1:10" ht="18.75" x14ac:dyDescent="0.3">
      <c r="A23" s="29" t="s">
        <v>68</v>
      </c>
      <c r="B23" s="30">
        <v>12</v>
      </c>
      <c r="C23" s="34">
        <f>C22*$B23</f>
        <v>15515.214600000003</v>
      </c>
      <c r="D23" s="34">
        <f t="shared" ref="D23:F23" si="2">D22*$B23</f>
        <v>3350.808</v>
      </c>
      <c r="E23" s="34">
        <f t="shared" si="2"/>
        <v>4057.68</v>
      </c>
      <c r="F23" s="34">
        <f t="shared" si="2"/>
        <v>0</v>
      </c>
      <c r="I23" s="11"/>
    </row>
    <row r="24" spans="1:10" x14ac:dyDescent="0.25">
      <c r="A24" s="16"/>
      <c r="B24" s="17"/>
      <c r="C24" s="18"/>
      <c r="D24" s="18"/>
      <c r="E24" s="18"/>
      <c r="F24" s="18"/>
      <c r="I24" s="11"/>
    </row>
    <row r="25" spans="1:10" x14ac:dyDescent="0.25">
      <c r="A25" s="16"/>
      <c r="B25" s="19"/>
      <c r="C25" s="18"/>
      <c r="D25" s="18"/>
      <c r="E25" s="18"/>
      <c r="F25" s="18"/>
    </row>
    <row r="26" spans="1:10" x14ac:dyDescent="0.25">
      <c r="A26" s="16"/>
      <c r="B26" s="19"/>
      <c r="C26" s="18"/>
      <c r="D26" s="18"/>
      <c r="E26" s="18"/>
      <c r="F26" s="18"/>
      <c r="I26" s="22"/>
      <c r="J26" s="11"/>
    </row>
    <row r="27" spans="1:10" x14ac:dyDescent="0.25">
      <c r="A27" s="16"/>
      <c r="B27" s="19"/>
      <c r="C27" s="18"/>
      <c r="D27" s="18"/>
      <c r="E27" s="18"/>
      <c r="F27" s="18"/>
    </row>
    <row r="28" spans="1:10" x14ac:dyDescent="0.25">
      <c r="A28" s="16"/>
      <c r="B28" s="19"/>
      <c r="I28" s="22"/>
    </row>
    <row r="29" spans="1:10" x14ac:dyDescent="0.25">
      <c r="A29" s="20"/>
      <c r="B29" s="19"/>
    </row>
    <row r="30" spans="1:10" x14ac:dyDescent="0.25">
      <c r="A30" s="20"/>
    </row>
  </sheetData>
  <mergeCells count="2">
    <mergeCell ref="C4:F4"/>
    <mergeCell ref="A2:E2"/>
  </mergeCells>
  <pageMargins left="0.7" right="0.7" top="0.75" bottom="0.75" header="0.3" footer="0.3"/>
  <pageSetup scale="7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1"/>
  <sheetViews>
    <sheetView workbookViewId="0">
      <selection activeCell="A20" sqref="A20:B20"/>
    </sheetView>
  </sheetViews>
  <sheetFormatPr defaultRowHeight="15" x14ac:dyDescent="0.25"/>
  <cols>
    <col min="1" max="1" width="58.28515625" customWidth="1"/>
    <col min="2" max="2" width="11.28515625" customWidth="1"/>
    <col min="3" max="4" width="16.42578125" style="7" customWidth="1"/>
    <col min="5" max="5" width="38.42578125" bestFit="1" customWidth="1"/>
  </cols>
  <sheetData>
    <row r="1" spans="1:7" ht="37.5" customHeight="1" x14ac:dyDescent="0.45">
      <c r="A1" s="6" t="s">
        <v>70</v>
      </c>
      <c r="B1" s="124" t="s">
        <v>23</v>
      </c>
      <c r="C1" s="124"/>
      <c r="D1" s="124"/>
      <c r="E1" s="124"/>
      <c r="F1" s="21"/>
    </row>
    <row r="2" spans="1:7" s="4" customFormat="1" ht="21.75" customHeight="1" thickBot="1" x14ac:dyDescent="0.3">
      <c r="A2" s="125" t="s">
        <v>54</v>
      </c>
      <c r="B2" s="125"/>
      <c r="C2" s="125"/>
      <c r="D2" s="125"/>
      <c r="E2" s="125"/>
    </row>
    <row r="3" spans="1:7" ht="19.5" thickBot="1" x14ac:dyDescent="0.35">
      <c r="A3" s="49"/>
      <c r="B3" s="31"/>
      <c r="C3" s="142" t="s">
        <v>19</v>
      </c>
      <c r="D3" s="143"/>
      <c r="E3" s="50"/>
    </row>
    <row r="4" spans="1:7" ht="38.25" thickBot="1" x14ac:dyDescent="0.35">
      <c r="A4" s="132" t="s">
        <v>0</v>
      </c>
      <c r="B4" s="133"/>
      <c r="C4" s="51" t="s">
        <v>31</v>
      </c>
      <c r="D4" s="52" t="s">
        <v>29</v>
      </c>
      <c r="E4" s="53" t="s">
        <v>33</v>
      </c>
    </row>
    <row r="5" spans="1:7" ht="38.25" customHeight="1" x14ac:dyDescent="0.25">
      <c r="A5" s="140" t="s">
        <v>15</v>
      </c>
      <c r="B5" s="141"/>
      <c r="C5" s="54">
        <f t="shared" ref="C5:C15" si="0">D5/Participants</f>
        <v>304.61890909090909</v>
      </c>
      <c r="D5" s="55">
        <f>'Trip Cost Worksheet'!D22*(Participants+1)</f>
        <v>3350.808</v>
      </c>
      <c r="E5" s="13" t="s">
        <v>60</v>
      </c>
    </row>
    <row r="6" spans="1:7" ht="33" customHeight="1" x14ac:dyDescent="0.25">
      <c r="A6" s="110" t="s">
        <v>14</v>
      </c>
      <c r="B6" s="111"/>
      <c r="C6" s="56">
        <f t="shared" si="0"/>
        <v>1410.4740545454549</v>
      </c>
      <c r="D6" s="57">
        <f>('Trip Cost Worksheet'!C22+'Trip Cost Worksheet'!F14)*(Participants+1)</f>
        <v>15515.214600000003</v>
      </c>
      <c r="E6" s="12" t="s">
        <v>61</v>
      </c>
    </row>
    <row r="7" spans="1:7" ht="31.5" customHeight="1" x14ac:dyDescent="0.25">
      <c r="A7" s="110" t="s">
        <v>13</v>
      </c>
      <c r="B7" s="111"/>
      <c r="C7" s="56">
        <f t="shared" si="0"/>
        <v>368.88</v>
      </c>
      <c r="D7" s="57">
        <f>'Trip Cost Worksheet'!E22*(Participants+1)</f>
        <v>4057.68</v>
      </c>
      <c r="E7" s="12" t="s">
        <v>65</v>
      </c>
    </row>
    <row r="8" spans="1:7" ht="19.5" customHeight="1" x14ac:dyDescent="0.25">
      <c r="A8" s="110" t="s">
        <v>12</v>
      </c>
      <c r="B8" s="111"/>
      <c r="C8" s="56">
        <f t="shared" si="0"/>
        <v>13.636363636363637</v>
      </c>
      <c r="D8" s="57">
        <v>150</v>
      </c>
      <c r="E8" s="8" t="s">
        <v>62</v>
      </c>
    </row>
    <row r="9" spans="1:7" ht="19.5" customHeight="1" x14ac:dyDescent="0.25">
      <c r="A9" s="110" t="s">
        <v>11</v>
      </c>
      <c r="B9" s="111"/>
      <c r="C9" s="56">
        <f t="shared" si="0"/>
        <v>0</v>
      </c>
      <c r="D9" s="57"/>
      <c r="E9" s="8"/>
    </row>
    <row r="10" spans="1:7" ht="47.25" customHeight="1" x14ac:dyDescent="0.25">
      <c r="A10" s="110" t="s">
        <v>2</v>
      </c>
      <c r="B10" s="111"/>
      <c r="C10" s="56">
        <f t="shared" si="0"/>
        <v>0</v>
      </c>
      <c r="D10" s="57"/>
      <c r="E10" s="8"/>
    </row>
    <row r="11" spans="1:7" ht="19.5" customHeight="1" x14ac:dyDescent="0.25">
      <c r="A11" s="110" t="s">
        <v>10</v>
      </c>
      <c r="B11" s="111"/>
      <c r="C11" s="56">
        <f t="shared" si="0"/>
        <v>0</v>
      </c>
      <c r="D11" s="57"/>
      <c r="E11" s="8"/>
    </row>
    <row r="12" spans="1:7" ht="31.5" customHeight="1" x14ac:dyDescent="0.25">
      <c r="A12" s="110" t="s">
        <v>3</v>
      </c>
      <c r="B12" s="111"/>
      <c r="C12" s="56">
        <f t="shared" si="0"/>
        <v>0</v>
      </c>
      <c r="D12" s="57"/>
      <c r="E12" s="8"/>
    </row>
    <row r="13" spans="1:7" ht="19.5" customHeight="1" x14ac:dyDescent="0.25">
      <c r="A13" s="110" t="s">
        <v>18</v>
      </c>
      <c r="B13" s="111"/>
      <c r="C13" s="56">
        <f t="shared" si="0"/>
        <v>0</v>
      </c>
      <c r="D13" s="57"/>
      <c r="E13" s="8"/>
    </row>
    <row r="14" spans="1:7" ht="18.75" x14ac:dyDescent="0.25">
      <c r="A14" s="110" t="s">
        <v>40</v>
      </c>
      <c r="B14" s="111"/>
      <c r="C14" s="56">
        <f t="shared" si="0"/>
        <v>30.350909090909092</v>
      </c>
      <c r="D14" s="57">
        <f>184.01+149.85</f>
        <v>333.86</v>
      </c>
      <c r="E14" s="12"/>
      <c r="G14" s="22">
        <f>25*'Trip Cost Worksheet'!I6*7</f>
        <v>206.5</v>
      </c>
    </row>
    <row r="15" spans="1:7" ht="40.5" customHeight="1" thickBot="1" x14ac:dyDescent="0.3">
      <c r="A15" s="134" t="s">
        <v>20</v>
      </c>
      <c r="B15" s="135"/>
      <c r="C15" s="58">
        <f t="shared" si="0"/>
        <v>82.727272727272734</v>
      </c>
      <c r="D15" s="59">
        <v>910</v>
      </c>
      <c r="E15" s="8"/>
      <c r="G15" s="11"/>
    </row>
    <row r="16" spans="1:7" ht="40.5" customHeight="1" thickBot="1" x14ac:dyDescent="0.3">
      <c r="A16" s="136" t="s">
        <v>32</v>
      </c>
      <c r="B16" s="137"/>
      <c r="C16" s="138">
        <v>11</v>
      </c>
      <c r="D16" s="139"/>
      <c r="E16" s="8"/>
    </row>
    <row r="17" spans="1:5" ht="19.5" customHeight="1" thickBot="1" x14ac:dyDescent="0.3">
      <c r="A17" s="128" t="s">
        <v>24</v>
      </c>
      <c r="B17" s="129"/>
      <c r="C17" s="60"/>
      <c r="D17" s="61"/>
      <c r="E17" s="8"/>
    </row>
    <row r="18" spans="1:5" ht="26.25" customHeight="1" thickBot="1" x14ac:dyDescent="0.3">
      <c r="A18" s="62" t="s">
        <v>21</v>
      </c>
      <c r="B18" s="63"/>
      <c r="C18" s="64">
        <f>SUM(C5:C15,C17)</f>
        <v>2210.6875090909093</v>
      </c>
      <c r="D18" s="65">
        <f>SUM(D5:D15)</f>
        <v>24317.562600000005</v>
      </c>
      <c r="E18" s="8"/>
    </row>
    <row r="19" spans="1:5" ht="26.25" customHeight="1" thickBot="1" x14ac:dyDescent="0.3">
      <c r="A19" s="66" t="s">
        <v>1</v>
      </c>
      <c r="B19" s="67">
        <v>0.05</v>
      </c>
      <c r="C19" s="68">
        <f>C18*B19</f>
        <v>110.53437545454547</v>
      </c>
      <c r="D19" s="65">
        <f>D18*B19</f>
        <v>1215.8781300000003</v>
      </c>
      <c r="E19" s="8"/>
    </row>
    <row r="20" spans="1:5" ht="26.25" customHeight="1" thickBot="1" x14ac:dyDescent="0.3">
      <c r="A20" s="130" t="s">
        <v>6</v>
      </c>
      <c r="B20" s="131"/>
      <c r="C20" s="68">
        <f>SUM(C18:C19)</f>
        <v>2321.2218845454549</v>
      </c>
      <c r="D20" s="65">
        <f>SUM(D18:D19)</f>
        <v>25533.440730000006</v>
      </c>
      <c r="E20" s="8"/>
    </row>
    <row r="21" spans="1:5" ht="26.25" customHeight="1" thickBot="1" x14ac:dyDescent="0.3">
      <c r="A21" s="66" t="s">
        <v>22</v>
      </c>
      <c r="B21" s="69">
        <v>0.16</v>
      </c>
      <c r="C21" s="68">
        <f>C20*B21</f>
        <v>371.39550152727281</v>
      </c>
      <c r="D21" s="65">
        <f>D20*B21</f>
        <v>4085.3505168000011</v>
      </c>
      <c r="E21" s="8"/>
    </row>
    <row r="22" spans="1:5" ht="26.25" customHeight="1" thickBot="1" x14ac:dyDescent="0.3">
      <c r="A22" s="130" t="s">
        <v>7</v>
      </c>
      <c r="B22" s="131"/>
      <c r="C22" s="68">
        <f>SUM(C20:C21)</f>
        <v>2692.6173860727276</v>
      </c>
      <c r="D22" s="65">
        <f>SUM(D20:D21)</f>
        <v>29618.791246800007</v>
      </c>
      <c r="E22" s="9"/>
    </row>
    <row r="23" spans="1:5" x14ac:dyDescent="0.25">
      <c r="A23" s="3" t="s">
        <v>8</v>
      </c>
    </row>
    <row r="25" spans="1:5" ht="15.75" thickBot="1" x14ac:dyDescent="0.3"/>
    <row r="26" spans="1:5" ht="33.75" customHeight="1" thickBot="1" x14ac:dyDescent="0.35">
      <c r="A26" s="5" t="s">
        <v>9</v>
      </c>
      <c r="B26" s="70" t="s">
        <v>16</v>
      </c>
      <c r="C26" s="126" t="s">
        <v>34</v>
      </c>
      <c r="D26" s="127"/>
    </row>
    <row r="27" spans="1:5" ht="39.75" customHeight="1" x14ac:dyDescent="0.25">
      <c r="A27" s="71" t="s">
        <v>15</v>
      </c>
      <c r="B27" s="72">
        <v>1400</v>
      </c>
      <c r="C27" s="122" t="s">
        <v>63</v>
      </c>
      <c r="D27" s="123"/>
    </row>
    <row r="28" spans="1:5" ht="30.75" customHeight="1" x14ac:dyDescent="0.25">
      <c r="A28" s="73" t="s">
        <v>14</v>
      </c>
      <c r="B28" s="74">
        <v>150</v>
      </c>
      <c r="C28" s="118" t="s">
        <v>55</v>
      </c>
      <c r="D28" s="119"/>
    </row>
    <row r="29" spans="1:5" ht="32.25" customHeight="1" x14ac:dyDescent="0.25">
      <c r="A29" s="73" t="s">
        <v>13</v>
      </c>
      <c r="B29" s="75" t="s">
        <v>57</v>
      </c>
      <c r="C29" s="118" t="s">
        <v>58</v>
      </c>
      <c r="D29" s="119"/>
    </row>
    <row r="30" spans="1:5" ht="38.25" customHeight="1" x14ac:dyDescent="0.25">
      <c r="A30" s="73" t="s">
        <v>12</v>
      </c>
      <c r="B30" s="74"/>
      <c r="C30" s="116"/>
      <c r="D30" s="117"/>
    </row>
    <row r="31" spans="1:5" ht="27" customHeight="1" x14ac:dyDescent="0.25">
      <c r="A31" s="73" t="s">
        <v>11</v>
      </c>
      <c r="B31" s="74"/>
      <c r="C31" s="116"/>
      <c r="D31" s="117"/>
    </row>
    <row r="32" spans="1:5" ht="27" customHeight="1" x14ac:dyDescent="0.25">
      <c r="A32" s="73" t="s">
        <v>2</v>
      </c>
      <c r="B32" s="74"/>
      <c r="C32" s="116"/>
      <c r="D32" s="117"/>
    </row>
    <row r="33" spans="1:4" ht="27" customHeight="1" x14ac:dyDescent="0.25">
      <c r="A33" s="73" t="s">
        <v>10</v>
      </c>
      <c r="B33" s="74"/>
      <c r="C33" s="116"/>
      <c r="D33" s="117"/>
    </row>
    <row r="34" spans="1:4" ht="32.25" customHeight="1" x14ac:dyDescent="0.25">
      <c r="A34" s="73" t="s">
        <v>3</v>
      </c>
      <c r="B34" s="74">
        <v>170</v>
      </c>
      <c r="C34" s="118" t="s">
        <v>59</v>
      </c>
      <c r="D34" s="119"/>
    </row>
    <row r="35" spans="1:4" ht="30.75" customHeight="1" x14ac:dyDescent="0.25">
      <c r="A35" s="73" t="s">
        <v>4</v>
      </c>
      <c r="B35" s="74">
        <v>190</v>
      </c>
      <c r="C35" s="120" t="s">
        <v>41</v>
      </c>
      <c r="D35" s="121"/>
    </row>
    <row r="36" spans="1:4" ht="30.75" customHeight="1" x14ac:dyDescent="0.25">
      <c r="A36" s="73" t="s">
        <v>42</v>
      </c>
      <c r="B36" s="74">
        <v>40</v>
      </c>
      <c r="C36" s="118" t="s">
        <v>44</v>
      </c>
      <c r="D36" s="119"/>
    </row>
    <row r="37" spans="1:4" ht="21.75" customHeight="1" x14ac:dyDescent="0.25">
      <c r="A37" s="73" t="s">
        <v>17</v>
      </c>
      <c r="B37" s="76"/>
      <c r="C37" s="112"/>
      <c r="D37" s="113"/>
    </row>
    <row r="38" spans="1:4" ht="21.75" customHeight="1" thickBot="1" x14ac:dyDescent="0.3">
      <c r="A38" s="73" t="s">
        <v>5</v>
      </c>
      <c r="B38" s="77"/>
      <c r="C38" s="112"/>
      <c r="D38" s="113"/>
    </row>
    <row r="39" spans="1:4" ht="24.75" customHeight="1" thickBot="1" x14ac:dyDescent="0.3">
      <c r="A39" s="5" t="s">
        <v>6</v>
      </c>
      <c r="B39" s="78">
        <f>SUM(B27:B38)</f>
        <v>1950</v>
      </c>
      <c r="C39" s="114"/>
      <c r="D39" s="115"/>
    </row>
    <row r="40" spans="1:4" x14ac:dyDescent="0.25">
      <c r="A40" s="3" t="s">
        <v>8</v>
      </c>
    </row>
    <row r="41" spans="1:4" x14ac:dyDescent="0.25">
      <c r="A41" s="1"/>
    </row>
    <row r="43" spans="1:4" x14ac:dyDescent="0.25">
      <c r="A43" s="1"/>
    </row>
    <row r="62" spans="1:1" x14ac:dyDescent="0.25">
      <c r="A62" s="1"/>
    </row>
    <row r="63" spans="1:1" x14ac:dyDescent="0.25">
      <c r="A63" s="1"/>
    </row>
    <row r="68" spans="3:4" x14ac:dyDescent="0.25">
      <c r="C68"/>
      <c r="D68"/>
    </row>
    <row r="69" spans="3:4" x14ac:dyDescent="0.25">
      <c r="C69"/>
      <c r="D69"/>
    </row>
    <row r="70" spans="3:4" x14ac:dyDescent="0.25">
      <c r="C70"/>
      <c r="D70"/>
    </row>
    <row r="71" spans="3:4" x14ac:dyDescent="0.25">
      <c r="C71"/>
      <c r="D71"/>
    </row>
  </sheetData>
  <mergeCells count="34">
    <mergeCell ref="B1:E1"/>
    <mergeCell ref="A2:E2"/>
    <mergeCell ref="C26:D26"/>
    <mergeCell ref="A17:B17"/>
    <mergeCell ref="A20:B20"/>
    <mergeCell ref="A22:B22"/>
    <mergeCell ref="A4:B4"/>
    <mergeCell ref="A15:B15"/>
    <mergeCell ref="A16:B16"/>
    <mergeCell ref="C16:D16"/>
    <mergeCell ref="A8:B8"/>
    <mergeCell ref="A7:B7"/>
    <mergeCell ref="A6:B6"/>
    <mergeCell ref="A5:B5"/>
    <mergeCell ref="C3:D3"/>
    <mergeCell ref="A9:B9"/>
    <mergeCell ref="C27:D27"/>
    <mergeCell ref="C28:D28"/>
    <mergeCell ref="C29:D29"/>
    <mergeCell ref="C30:D30"/>
    <mergeCell ref="C36:D36"/>
    <mergeCell ref="C38:D38"/>
    <mergeCell ref="C39:D39"/>
    <mergeCell ref="C31:D31"/>
    <mergeCell ref="C32:D32"/>
    <mergeCell ref="C33:D33"/>
    <mergeCell ref="C34:D34"/>
    <mergeCell ref="C35:D35"/>
    <mergeCell ref="C37:D37"/>
    <mergeCell ref="A14:B14"/>
    <mergeCell ref="A13:B13"/>
    <mergeCell ref="A12:B12"/>
    <mergeCell ref="A11:B11"/>
    <mergeCell ref="A10:B10"/>
  </mergeCells>
  <pageMargins left="0.7" right="0.7" top="1" bottom="0.75" header="0.3" footer="0.3"/>
  <pageSetup scale="62" fitToWidth="0" orientation="portrait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A21" sqref="A21:XFD142"/>
    </sheetView>
  </sheetViews>
  <sheetFormatPr defaultRowHeight="15" x14ac:dyDescent="0.25"/>
  <cols>
    <col min="1" max="1" width="63.5703125" customWidth="1"/>
    <col min="2" max="2" width="16.42578125" style="7" customWidth="1"/>
    <col min="4" max="4" width="11.5703125" bestFit="1" customWidth="1"/>
  </cols>
  <sheetData>
    <row r="1" spans="1:8" ht="37.5" customHeight="1" x14ac:dyDescent="0.45">
      <c r="A1" s="6" t="s">
        <v>35</v>
      </c>
      <c r="B1" s="124"/>
      <c r="C1" s="124"/>
    </row>
    <row r="2" spans="1:8" s="4" customFormat="1" ht="21" customHeight="1" x14ac:dyDescent="0.25">
      <c r="A2" s="125" t="str">
        <f>'Budget, Incl &amp; Excl expenses'!A2:E2</f>
        <v>Adventure Title:    Trek the Jungfrau High Route</v>
      </c>
      <c r="B2" s="125"/>
      <c r="D2" s="125"/>
      <c r="E2" s="125"/>
      <c r="F2" s="125"/>
      <c r="G2" s="125"/>
      <c r="H2" s="125"/>
    </row>
    <row r="3" spans="1:8" ht="15.75" thickBot="1" x14ac:dyDescent="0.3">
      <c r="A3" s="2"/>
      <c r="B3" s="10"/>
    </row>
    <row r="4" spans="1:8" ht="21.75" thickBot="1" x14ac:dyDescent="0.3">
      <c r="A4" s="94" t="s">
        <v>64</v>
      </c>
      <c r="B4" s="95" t="s">
        <v>29</v>
      </c>
    </row>
    <row r="5" spans="1:8" ht="19.5" customHeight="1" x14ac:dyDescent="0.25">
      <c r="A5" s="89" t="s">
        <v>25</v>
      </c>
      <c r="B5" s="90">
        <f>'Budget, Incl &amp; Excl expenses'!D5*(1+'Budget, Incl &amp; Excl expenses'!$B$19)</f>
        <v>3518.3484000000003</v>
      </c>
    </row>
    <row r="6" spans="1:8" ht="19.5" customHeight="1" x14ac:dyDescent="0.25">
      <c r="A6" s="91" t="s">
        <v>28</v>
      </c>
      <c r="B6" s="92">
        <f>'Budget, Incl &amp; Excl expenses'!D6*(1+'Budget, Incl &amp; Excl expenses'!B$19)</f>
        <v>16290.975330000003</v>
      </c>
    </row>
    <row r="7" spans="1:8" ht="19.5" customHeight="1" x14ac:dyDescent="0.25">
      <c r="A7" s="91" t="s">
        <v>26</v>
      </c>
      <c r="B7" s="92">
        <f>'Budget, Incl &amp; Excl expenses'!D7*(1+'Budget, Incl &amp; Excl expenses'!$B$19)</f>
        <v>4260.5640000000003</v>
      </c>
    </row>
    <row r="8" spans="1:8" ht="37.5" x14ac:dyDescent="0.25">
      <c r="A8" s="91" t="s">
        <v>36</v>
      </c>
      <c r="B8" s="92">
        <f>SUM('Budget, Incl &amp; Excl expenses'!D8:D9,'Budget, Incl &amp; Excl expenses'!D11,'Budget, Incl &amp; Excl expenses'!D13)*(1+'Budget, Incl &amp; Excl expenses'!B$19)</f>
        <v>157.5</v>
      </c>
    </row>
    <row r="9" spans="1:8" ht="19.5" customHeight="1" x14ac:dyDescent="0.25">
      <c r="A9" s="91" t="s">
        <v>37</v>
      </c>
      <c r="B9" s="92">
        <f>SUM('Budget, Incl &amp; Excl expenses'!D10,'Budget, Incl &amp; Excl expenses'!D12,'Budget, Incl &amp; Excl expenses'!D14)*(1+'Budget, Incl &amp; Excl expenses'!B$19)</f>
        <v>350.55300000000005</v>
      </c>
    </row>
    <row r="10" spans="1:8" ht="19.5" customHeight="1" x14ac:dyDescent="0.25">
      <c r="A10" s="91" t="s">
        <v>72</v>
      </c>
      <c r="B10" s="92">
        <f>'Budget, Incl &amp; Excl expenses'!D15*(1+'Budget, Incl &amp; Excl expenses'!B$19)</f>
        <v>955.5</v>
      </c>
    </row>
    <row r="11" spans="1:8" ht="19.5" customHeight="1" thickBot="1" x14ac:dyDescent="0.3">
      <c r="A11" s="66" t="s">
        <v>22</v>
      </c>
      <c r="B11" s="93">
        <f>'Budget, Incl &amp; Excl expenses'!D21</f>
        <v>4085.3505168000011</v>
      </c>
    </row>
    <row r="12" spans="1:8" ht="19.5" customHeight="1" thickBot="1" x14ac:dyDescent="0.3">
      <c r="A12" s="80" t="s">
        <v>7</v>
      </c>
      <c r="B12" s="93">
        <f>'Budget, Incl &amp; Excl expenses'!D22</f>
        <v>29618.791246800007</v>
      </c>
      <c r="C12" s="11"/>
      <c r="D12" s="22"/>
    </row>
    <row r="13" spans="1:8" x14ac:dyDescent="0.25">
      <c r="A13" s="3" t="s">
        <v>8</v>
      </c>
    </row>
    <row r="14" spans="1:8" ht="15.75" thickBot="1" x14ac:dyDescent="0.3"/>
    <row r="15" spans="1:8" ht="19.5" thickBot="1" x14ac:dyDescent="0.3">
      <c r="A15" s="80" t="s">
        <v>39</v>
      </c>
      <c r="B15" s="81">
        <v>2900</v>
      </c>
    </row>
    <row r="16" spans="1:8" ht="19.5" thickBot="1" x14ac:dyDescent="0.3">
      <c r="A16" s="80" t="s">
        <v>38</v>
      </c>
      <c r="B16" s="82">
        <v>11</v>
      </c>
    </row>
    <row r="17" spans="1:2" ht="19.5" thickBot="1" x14ac:dyDescent="0.3">
      <c r="A17" s="80" t="s">
        <v>30</v>
      </c>
      <c r="B17" s="83">
        <f>B15*B16</f>
        <v>31900</v>
      </c>
    </row>
    <row r="18" spans="1:2" ht="18.75" x14ac:dyDescent="0.3">
      <c r="A18" s="84" t="s">
        <v>43</v>
      </c>
      <c r="B18" s="85">
        <f>B17-B12</f>
        <v>2281.2087531999932</v>
      </c>
    </row>
    <row r="19" spans="1:2" ht="18.75" x14ac:dyDescent="0.3">
      <c r="A19" s="86"/>
      <c r="B19" s="87">
        <f>B18/B12</f>
        <v>7.7018968606507643E-2</v>
      </c>
    </row>
    <row r="20" spans="1:2" ht="18.75" x14ac:dyDescent="0.3">
      <c r="A20" s="86"/>
      <c r="B20" s="88">
        <f>B12/11</f>
        <v>2692.6173860727281</v>
      </c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</sheetData>
  <mergeCells count="3">
    <mergeCell ref="B1:C1"/>
    <mergeCell ref="A2:B2"/>
    <mergeCell ref="D2:H2"/>
  </mergeCells>
  <pageMargins left="0.7" right="0.7" top="0.75" bottom="0.75" header="0.3" footer="0.3"/>
  <pageSetup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Trip Cost Worksheet</vt:lpstr>
      <vt:lpstr>Budget, Incl &amp; Excl expenses</vt:lpstr>
      <vt:lpstr>Budget for Club Accounting</vt:lpstr>
      <vt:lpstr>Participants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 Talbert</cp:lastModifiedBy>
  <cp:lastPrinted>2019-05-27T20:37:20Z</cp:lastPrinted>
  <dcterms:created xsi:type="dcterms:W3CDTF">2013-11-19T21:57:21Z</dcterms:created>
  <dcterms:modified xsi:type="dcterms:W3CDTF">2019-05-27T20:37:57Z</dcterms:modified>
</cp:coreProperties>
</file>